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/Desktop/s54 wagon/Suspension and Corner Balance/"/>
    </mc:Choice>
  </mc:AlternateContent>
  <xr:revisionPtr revIDLastSave="0" documentId="13_ncr:1_{434902F7-72CB-504B-944F-AF77099B58DD}" xr6:coauthVersionLast="47" xr6:coauthVersionMax="47" xr10:uidLastSave="{00000000-0000-0000-0000-000000000000}"/>
  <bookViews>
    <workbookView xWindow="0" yWindow="0" windowWidth="28800" windowHeight="18000" xr2:uid="{B93094E1-BA2D-0C45-9CAA-35A796EDB315}"/>
  </bookViews>
  <sheets>
    <sheet name="Sheet1" sheetId="1" r:id="rId1"/>
  </sheets>
  <definedNames>
    <definedName name="cgm">Sheet1!#REF!</definedName>
    <definedName name="m_1">Sheet1!#REF!</definedName>
    <definedName name="m_2">Sheet1!#REF!</definedName>
    <definedName name="x_1">Sheet1!#REF!</definedName>
    <definedName name="xcm">Sheet1!$C$17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O22" i="1"/>
  <c r="O23" i="1"/>
  <c r="O25" i="1"/>
  <c r="O26" i="1"/>
  <c r="O27" i="1"/>
  <c r="O21" i="1"/>
  <c r="E11" i="1"/>
  <c r="E12" i="1"/>
  <c r="E10" i="1"/>
  <c r="J13" i="1" s="1"/>
  <c r="E14" i="1"/>
  <c r="E13" i="1"/>
  <c r="D6" i="1"/>
  <c r="C6" i="1"/>
  <c r="E38" i="1"/>
  <c r="F5" i="1"/>
  <c r="F4" i="1"/>
  <c r="C9" i="1"/>
  <c r="E39" i="1" s="1"/>
  <c r="C50" i="1" s="1"/>
  <c r="C31" i="1"/>
  <c r="E31" i="1" s="1"/>
  <c r="C51" i="1" l="1"/>
  <c r="C32" i="1"/>
  <c r="C33" i="1" s="1"/>
  <c r="I13" i="1"/>
  <c r="I10" i="1"/>
  <c r="I11" i="1"/>
  <c r="J11" i="1"/>
  <c r="I12" i="1"/>
  <c r="J12" i="1"/>
  <c r="J10" i="1"/>
  <c r="C38" i="1" l="1"/>
  <c r="C39" i="1"/>
  <c r="C34" i="1" s="1"/>
  <c r="O38" i="1"/>
  <c r="D38" i="1"/>
  <c r="D39" i="1"/>
  <c r="H34" i="1" s="1"/>
  <c r="H31" i="1" l="1"/>
  <c r="H32" i="1"/>
  <c r="O39" i="1"/>
  <c r="H33" i="1"/>
  <c r="C35" i="1"/>
  <c r="C44" i="1" l="1"/>
  <c r="D43" i="1"/>
  <c r="D44" i="1"/>
  <c r="C43" i="1"/>
  <c r="F44" i="1" l="1"/>
  <c r="G44" i="1" s="1"/>
  <c r="D45" i="1"/>
  <c r="D46" i="1" s="1"/>
  <c r="F43" i="1"/>
  <c r="G43" i="1" s="1"/>
  <c r="C45" i="1"/>
  <c r="C46" i="1" s="1"/>
</calcChain>
</file>

<file path=xl/sharedStrings.xml><?xml version="1.0" encoding="utf-8"?>
<sst xmlns="http://schemas.openxmlformats.org/spreadsheetml/2006/main" count="103" uniqueCount="72">
  <si>
    <t>CG height</t>
  </si>
  <si>
    <t>in</t>
  </si>
  <si>
    <t>lb</t>
  </si>
  <si>
    <t>New CG weight</t>
  </si>
  <si>
    <t>New CG height</t>
  </si>
  <si>
    <t>New CG diff</t>
  </si>
  <si>
    <t>X-Y center mass</t>
  </si>
  <si>
    <t>FL</t>
  </si>
  <si>
    <t>FR</t>
  </si>
  <si>
    <t>RR</t>
  </si>
  <si>
    <t>RL</t>
  </si>
  <si>
    <t>mass</t>
  </si>
  <si>
    <t>wheelbase</t>
  </si>
  <si>
    <t>(wrt center between wheels)</t>
  </si>
  <si>
    <t>FL wheel</t>
  </si>
  <si>
    <t>x (width)</t>
  </si>
  <si>
    <t>y (length)</t>
  </si>
  <si>
    <t>RL wheel</t>
  </si>
  <si>
    <t>FR wheel</t>
  </si>
  <si>
    <t>Front tire</t>
  </si>
  <si>
    <t>Rear tire</t>
  </si>
  <si>
    <t>mm</t>
  </si>
  <si>
    <t>Item</t>
  </si>
  <si>
    <t>weight</t>
  </si>
  <si>
    <t>Corner Weights</t>
  </si>
  <si>
    <t>CG Info</t>
  </si>
  <si>
    <t>Sunroof</t>
  </si>
  <si>
    <t>height, wagon = 56, M3 = 54</t>
  </si>
  <si>
    <t>Chassis Setup</t>
  </si>
  <si>
    <t>Corner Weight and CG height change calculator</t>
  </si>
  <si>
    <t>+ is Forward</t>
  </si>
  <si>
    <t>CG moved L-R</t>
  </si>
  <si>
    <t>CG moved F-R</t>
  </si>
  <si>
    <t>Distance from centerpoint</t>
  </si>
  <si>
    <t>Relative CG Calculations</t>
  </si>
  <si>
    <t>RR wheel</t>
  </si>
  <si>
    <t>New Target Corner Weights</t>
  </si>
  <si>
    <t>in from front axle</t>
  </si>
  <si>
    <t>in from rear axle</t>
  </si>
  <si>
    <t>in from left track</t>
  </si>
  <si>
    <t>in from right track</t>
  </si>
  <si>
    <t>y: F (+) R (-)</t>
  </si>
  <si>
    <t>z: height</t>
  </si>
  <si>
    <t>Weight Additions/Reductions</t>
  </si>
  <si>
    <t>x: L (+) R (-)</t>
  </si>
  <si>
    <t>+ is Left</t>
  </si>
  <si>
    <t>CG is…</t>
  </si>
  <si>
    <t>no weight changes</t>
  </si>
  <si>
    <t>with weight changes</t>
  </si>
  <si>
    <t>Roof Rack</t>
  </si>
  <si>
    <t>Spare Tire</t>
  </si>
  <si>
    <t>Windsheild cowl</t>
  </si>
  <si>
    <t>Muffler</t>
  </si>
  <si>
    <t>Battery</t>
  </si>
  <si>
    <t xml:space="preserve">front track outer </t>
  </si>
  <si>
    <t>rear track outer</t>
  </si>
  <si>
    <t>Donut spare</t>
  </si>
  <si>
    <t>Slon brace savings</t>
  </si>
  <si>
    <t>Trunk stuff</t>
  </si>
  <si>
    <t>Daily duty things</t>
  </si>
  <si>
    <t>lb driver</t>
  </si>
  <si>
    <t>w/o driver</t>
  </si>
  <si>
    <t>Roll center height</t>
  </si>
  <si>
    <t>Roll Couple Changes</t>
  </si>
  <si>
    <t>geometry here</t>
  </si>
  <si>
    <t>Cross bars (20) + bike racks (11+14) + rails (10)</t>
  </si>
  <si>
    <t>e36 M3 (48) -&gt; SS dual 2.5" (28)</t>
  </si>
  <si>
    <t>49lb OEM -&gt; 18.5lb antigravity</t>
  </si>
  <si>
    <t>CG-RC change</t>
  </si>
  <si>
    <t>Total roll change</t>
  </si>
  <si>
    <t>positive rolls more with same weight</t>
  </si>
  <si>
    <t>positirve rolls more with same cornering G (weight * distance from RC)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</si>
</sst>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54">
    <xf numFmtId="0" fontId="0" fillId="0" borderId="0" xfId="0"/>
    <xf numFmtId="2" fontId="0" fillId="0" borderId="0" xfId="0" applyNumberFormat="1"/>
    <xf numFmtId="9" fontId="0" fillId="0" borderId="0" xfId="1" applyFont="1"/>
    <xf numFmtId="165" fontId="0" fillId="0" borderId="0" xfId="1" applyNumberFormat="1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0" xfId="0" applyFill="1"/>
    <xf numFmtId="0" fontId="0" fillId="2" borderId="12" xfId="0" applyFill="1" applyBorder="1"/>
    <xf numFmtId="0" fontId="0" fillId="2" borderId="13" xfId="0" applyFill="1" applyBorder="1"/>
    <xf numFmtId="0" fontId="0" fillId="0" borderId="0" xfId="0" quotePrefix="1"/>
    <xf numFmtId="165" fontId="0" fillId="0" borderId="0" xfId="1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6" fontId="0" fillId="3" borderId="9" xfId="0" applyNumberFormat="1" applyFill="1" applyBorder="1" applyAlignment="1">
      <alignment horizontal="center"/>
    </xf>
    <xf numFmtId="166" fontId="0" fillId="3" borderId="11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5" xfId="0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" fontId="0" fillId="3" borderId="4" xfId="0" applyNumberFormat="1" applyFill="1" applyBorder="1" applyAlignment="1">
      <alignment horizontal="center"/>
    </xf>
    <xf numFmtId="1" fontId="0" fillId="3" borderId="5" xfId="0" applyNumberFormat="1" applyFill="1" applyBorder="1" applyAlignment="1">
      <alignment horizontal="center"/>
    </xf>
    <xf numFmtId="1" fontId="0" fillId="3" borderId="6" xfId="0" applyNumberFormat="1" applyFill="1" applyBorder="1" applyAlignment="1">
      <alignment horizontal="center"/>
    </xf>
    <xf numFmtId="1" fontId="0" fillId="3" borderId="8" xfId="0" applyNumberFormat="1" applyFill="1" applyBorder="1" applyAlignment="1">
      <alignment horizontal="center"/>
    </xf>
    <xf numFmtId="164" fontId="0" fillId="3" borderId="0" xfId="0" applyNumberFormat="1" applyFill="1"/>
    <xf numFmtId="2" fontId="0" fillId="3" borderId="0" xfId="1" applyNumberFormat="1" applyFont="1" applyFill="1"/>
    <xf numFmtId="2" fontId="0" fillId="3" borderId="0" xfId="0" applyNumberFormat="1" applyFill="1"/>
    <xf numFmtId="0" fontId="0" fillId="3" borderId="1" xfId="0" applyFill="1" applyBorder="1"/>
    <xf numFmtId="166" fontId="0" fillId="3" borderId="10" xfId="0" applyNumberFormat="1" applyFill="1" applyBorder="1" applyAlignment="1">
      <alignment horizontal="center"/>
    </xf>
    <xf numFmtId="1" fontId="0" fillId="3" borderId="11" xfId="0" applyNumberForma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165" fontId="0" fillId="3" borderId="11" xfId="1" applyNumberFormat="1" applyFont="1" applyFill="1" applyBorder="1" applyAlignment="1">
      <alignment horizontal="center"/>
    </xf>
    <xf numFmtId="0" fontId="3" fillId="0" borderId="0" xfId="2"/>
    <xf numFmtId="165" fontId="0" fillId="0" borderId="0" xfId="0" applyNumberFormat="1" applyAlignment="1">
      <alignment horizontal="left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165" fontId="0" fillId="3" borderId="10" xfId="1" applyNumberFormat="1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BABA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Front of Car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Sheet1!$H$10</c:f>
              <c:strCache>
                <c:ptCount val="1"/>
                <c:pt idx="0">
                  <c:v>FL wheel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30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Sheet1!$I$10</c:f>
              <c:numCache>
                <c:formatCode>0.00</c:formatCode>
                <c:ptCount val="1"/>
                <c:pt idx="0">
                  <c:v>29.88188976377953</c:v>
                </c:pt>
              </c:numCache>
            </c:numRef>
          </c:xVal>
          <c:yVal>
            <c:numRef>
              <c:f>Sheet1!$J$10</c:f>
              <c:numCache>
                <c:formatCode>0.00</c:formatCode>
                <c:ptCount val="1"/>
                <c:pt idx="0">
                  <c:v>53.759842519685044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A4-F94E-A1C0-55ACE5AD2A44}"/>
            </c:ext>
          </c:extLst>
        </c:ser>
        <c:ser>
          <c:idx val="3"/>
          <c:order val="1"/>
          <c:tx>
            <c:strRef>
              <c:f>Sheet1!$H$11</c:f>
              <c:strCache>
                <c:ptCount val="1"/>
                <c:pt idx="0">
                  <c:v>RL wheel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30"/>
            <c:spPr>
              <a:solidFill>
                <a:schemeClr val="tx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Sheet1!$I$11</c:f>
              <c:numCache>
                <c:formatCode>0.00</c:formatCode>
                <c:ptCount val="1"/>
                <c:pt idx="0">
                  <c:v>29.23228346456693</c:v>
                </c:pt>
              </c:numCache>
            </c:numRef>
          </c:xVal>
          <c:yVal>
            <c:numRef>
              <c:f>Sheet1!$J$11</c:f>
              <c:numCache>
                <c:formatCode>0.00</c:formatCode>
                <c:ptCount val="1"/>
                <c:pt idx="0">
                  <c:v>-53.759842519685044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0A4-F94E-A1C0-55ACE5AD2A44}"/>
            </c:ext>
          </c:extLst>
        </c:ser>
        <c:ser>
          <c:idx val="1"/>
          <c:order val="2"/>
          <c:tx>
            <c:strRef>
              <c:f>Sheet1!$H$12</c:f>
              <c:strCache>
                <c:ptCount val="1"/>
                <c:pt idx="0">
                  <c:v>FR wheel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30"/>
            <c:spPr>
              <a:solidFill>
                <a:schemeClr val="tx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Sheet1!$I$12</c:f>
              <c:numCache>
                <c:formatCode>0.00</c:formatCode>
                <c:ptCount val="1"/>
                <c:pt idx="0">
                  <c:v>-29.88188976377953</c:v>
                </c:pt>
              </c:numCache>
            </c:numRef>
          </c:xVal>
          <c:yVal>
            <c:numRef>
              <c:f>Sheet1!$J$12</c:f>
              <c:numCache>
                <c:formatCode>0.00</c:formatCode>
                <c:ptCount val="1"/>
                <c:pt idx="0">
                  <c:v>53.759842519685044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A4-F94E-A1C0-55ACE5AD2A44}"/>
            </c:ext>
          </c:extLst>
        </c:ser>
        <c:ser>
          <c:idx val="2"/>
          <c:order val="3"/>
          <c:tx>
            <c:strRef>
              <c:f>Sheet1!$H$13</c:f>
              <c:strCache>
                <c:ptCount val="1"/>
                <c:pt idx="0">
                  <c:v>RR wheel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30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Sheet1!$I$13</c:f>
              <c:numCache>
                <c:formatCode>0.00</c:formatCode>
                <c:ptCount val="1"/>
                <c:pt idx="0">
                  <c:v>-29.23228346456693</c:v>
                </c:pt>
              </c:numCache>
            </c:numRef>
          </c:xVal>
          <c:yVal>
            <c:numRef>
              <c:f>Sheet1!$J$13</c:f>
              <c:numCache>
                <c:formatCode>0.00</c:formatCode>
                <c:ptCount val="1"/>
                <c:pt idx="0">
                  <c:v>-53.759842519685044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A4-F94E-A1C0-55ACE5AD2A44}"/>
            </c:ext>
          </c:extLst>
        </c:ser>
        <c:ser>
          <c:idx val="4"/>
          <c:order val="4"/>
          <c:tx>
            <c:strRef>
              <c:f>Sheet1!$B$21</c:f>
              <c:strCache>
                <c:ptCount val="1"/>
                <c:pt idx="0">
                  <c:v>Sunroof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accent5">
                  <a:alpha val="74864"/>
                </a:scheme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Sheet1!$E$21</c:f>
              <c:numCache>
                <c:formatCode>General</c:formatCode>
                <c:ptCount val="1"/>
                <c:pt idx="0">
                  <c:v>-14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0A4-F94E-A1C0-55ACE5AD2A44}"/>
            </c:ext>
          </c:extLst>
        </c:ser>
        <c:ser>
          <c:idx val="5"/>
          <c:order val="5"/>
          <c:tx>
            <c:strRef>
              <c:f>Sheet1!$B$22</c:f>
              <c:strCache>
                <c:ptCount val="1"/>
                <c:pt idx="0">
                  <c:v>Roof Rack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accent6">
                  <a:alpha val="75000"/>
                </a:schemeClr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Sheet1!$E$22</c:f>
              <c:numCache>
                <c:formatCode>General</c:formatCode>
                <c:ptCount val="1"/>
                <c:pt idx="0">
                  <c:v>-36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0A4-F94E-A1C0-55ACE5AD2A44}"/>
            </c:ext>
          </c:extLst>
        </c:ser>
        <c:ser>
          <c:idx val="6"/>
          <c:order val="6"/>
          <c:tx>
            <c:strRef>
              <c:f>Sheet1!$B$23</c:f>
              <c:strCache>
                <c:ptCount val="1"/>
                <c:pt idx="0">
                  <c:v>Spare Tire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accent1">
                  <a:alpha val="75104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Sheet1!$O$23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Sheet1!$E$23</c:f>
              <c:numCache>
                <c:formatCode>General</c:formatCode>
                <c:ptCount val="1"/>
                <c:pt idx="0">
                  <c:v>-72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0A4-F94E-A1C0-55ACE5AD2A44}"/>
            </c:ext>
          </c:extLst>
        </c:ser>
        <c:ser>
          <c:idx val="7"/>
          <c:order val="7"/>
          <c:tx>
            <c:strRef>
              <c:f>Sheet1!$B$25</c:f>
              <c:strCache>
                <c:ptCount val="1"/>
                <c:pt idx="0">
                  <c:v>Windsheild cowl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accent2">
                  <a:lumMod val="50000"/>
                  <a:alpha val="74976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Sheet1!$E$25</c:f>
              <c:numCache>
                <c:formatCode>General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0A4-F94E-A1C0-55ACE5AD2A44}"/>
            </c:ext>
          </c:extLst>
        </c:ser>
        <c:ser>
          <c:idx val="8"/>
          <c:order val="8"/>
          <c:tx>
            <c:strRef>
              <c:f>Sheet1!$B$26</c:f>
              <c:strCache>
                <c:ptCount val="1"/>
                <c:pt idx="0">
                  <c:v>Muffler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accent2">
                  <a:alpha val="75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Sheet1!$O$26</c:f>
              <c:numCache>
                <c:formatCode>General</c:formatCode>
                <c:ptCount val="1"/>
                <c:pt idx="0">
                  <c:v>-22</c:v>
                </c:pt>
              </c:numCache>
            </c:numRef>
          </c:xVal>
          <c:yVal>
            <c:numRef>
              <c:f>Sheet1!$E$26</c:f>
              <c:numCache>
                <c:formatCode>General</c:formatCode>
                <c:ptCount val="1"/>
                <c:pt idx="0">
                  <c:v>-76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0A4-F94E-A1C0-55ACE5AD2A44}"/>
            </c:ext>
          </c:extLst>
        </c:ser>
        <c:ser>
          <c:idx val="9"/>
          <c:order val="9"/>
          <c:tx>
            <c:strRef>
              <c:f>Sheet1!$B$27</c:f>
              <c:strCache>
                <c:ptCount val="1"/>
                <c:pt idx="0">
                  <c:v>Battery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0"/>
            <c:spPr>
              <a:solidFill>
                <a:schemeClr val="accent4">
                  <a:alpha val="74577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Sheet1!$O$27</c:f>
              <c:numCache>
                <c:formatCode>General</c:formatCode>
                <c:ptCount val="1"/>
                <c:pt idx="0">
                  <c:v>24</c:v>
                </c:pt>
              </c:numCache>
            </c:numRef>
          </c:xVal>
          <c:yVal>
            <c:numRef>
              <c:f>Sheet1!$E$27</c:f>
              <c:numCache>
                <c:formatCode>General</c:formatCode>
                <c:ptCount val="1"/>
                <c:pt idx="0">
                  <c:v>-76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0A4-F94E-A1C0-55ACE5AD2A44}"/>
            </c:ext>
          </c:extLst>
        </c:ser>
        <c:ser>
          <c:idx val="10"/>
          <c:order val="10"/>
          <c:tx>
            <c:strRef>
              <c:f>Sheet1!$B$39</c:f>
              <c:strCache>
                <c:ptCount val="1"/>
                <c:pt idx="0">
                  <c:v>X-Y center mass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20"/>
            <c:spPr>
              <a:noFill/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Sheet1!$O$39</c:f>
              <c:numCache>
                <c:formatCode>General</c:formatCode>
                <c:ptCount val="1"/>
                <c:pt idx="0">
                  <c:v>-0.52234203483185282</c:v>
                </c:pt>
              </c:numCache>
            </c:numRef>
          </c:xVal>
          <c:yVal>
            <c:numRef>
              <c:f>Sheet1!$D$39</c:f>
              <c:numCache>
                <c:formatCode>0.000</c:formatCode>
                <c:ptCount val="1"/>
                <c:pt idx="0">
                  <c:v>-0.23924811122747616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0A4-F94E-A1C0-55ACE5AD2A44}"/>
            </c:ext>
          </c:extLst>
        </c:ser>
        <c:ser>
          <c:idx val="11"/>
          <c:order val="11"/>
          <c:tx>
            <c:strRef>
              <c:f>Sheet1!$B$39</c:f>
              <c:strCache>
                <c:ptCount val="1"/>
                <c:pt idx="0">
                  <c:v>X-Y center mass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8"/>
            <c:spPr>
              <a:solidFill>
                <a:schemeClr val="tx1">
                  <a:alpha val="10033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Sheet1!$O$39</c:f>
              <c:numCache>
                <c:formatCode>General</c:formatCode>
                <c:ptCount val="1"/>
                <c:pt idx="0">
                  <c:v>-0.52234203483185282</c:v>
                </c:pt>
              </c:numCache>
            </c:numRef>
          </c:xVal>
          <c:yVal>
            <c:numRef>
              <c:f>Sheet1!$D$39</c:f>
              <c:numCache>
                <c:formatCode>0.000</c:formatCode>
                <c:ptCount val="1"/>
                <c:pt idx="0">
                  <c:v>-0.23924811122747616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0A4-F94E-A1C0-55ACE5AD2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36960"/>
        <c:axId val="1436638608"/>
      </c:scatterChart>
      <c:valAx>
        <c:axId val="1436636960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  <a:alpha val="74769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638608"/>
        <c:crosses val="autoZero"/>
        <c:crossBetween val="midCat"/>
        <c:majorUnit val="12"/>
      </c:valAx>
      <c:valAx>
        <c:axId val="1436638608"/>
        <c:scaling>
          <c:orientation val="minMax"/>
          <c:max val="82"/>
          <c:min val="-94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  <a:alpha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636960"/>
        <c:crosses val="autoZero"/>
        <c:crossBetween val="midCat"/>
        <c:majorUnit val="1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2412999</xdr:colOff>
      <xdr:row>8</xdr:row>
      <xdr:rowOff>113808</xdr:rowOff>
    </xdr:from>
    <xdr:to>
      <xdr:col>6</xdr:col>
      <xdr:colOff>5486399</xdr:colOff>
      <xdr:row>42</xdr:row>
      <xdr:rowOff>73895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FE4643D-B10B-034E-6816-7D1BA1E0AF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alphaModFix/>
        </a:blip>
        <a:srcRect t="44203" r="30400"/>
        <a:stretch/>
      </xdr:blipFill>
      <xdr:spPr>
        <a:xfrm rot="5400000">
          <a:off x="5099955" y="3713352"/>
          <a:ext cx="6945087" cy="3073400"/>
        </a:xfrm>
        <a:prstGeom prst="rect">
          <a:avLst/>
        </a:prstGeom>
      </xdr:spPr>
    </xdr:pic>
    <xdr:clientData/>
  </xdr:twoCellAnchor>
  <xdr:twoCellAnchor editAs="oneCell">
    <xdr:from>
      <xdr:col>6</xdr:col>
      <xdr:colOff>2306749</xdr:colOff>
      <xdr:row>0</xdr:row>
      <xdr:rowOff>50800</xdr:rowOff>
    </xdr:from>
    <xdr:to>
      <xdr:col>6</xdr:col>
      <xdr:colOff>5572236</xdr:colOff>
      <xdr:row>6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DFAB1A-5AE7-B588-9B2A-BC91D4B2C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29549" y="50800"/>
          <a:ext cx="3265487" cy="1219200"/>
        </a:xfrm>
        <a:prstGeom prst="rect">
          <a:avLst/>
        </a:prstGeom>
      </xdr:spPr>
    </xdr:pic>
    <xdr:clientData/>
  </xdr:twoCellAnchor>
  <xdr:twoCellAnchor>
    <xdr:from>
      <xdr:col>6</xdr:col>
      <xdr:colOff>2286000</xdr:colOff>
      <xdr:row>6</xdr:row>
      <xdr:rowOff>165100</xdr:rowOff>
    </xdr:from>
    <xdr:to>
      <xdr:col>6</xdr:col>
      <xdr:colOff>5600700</xdr:colOff>
      <xdr:row>43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D46672-AA72-C3AE-9390-3739630589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cad.onshape.com/documents/a12883b6aa3e6af61334151b/w/4cab4a13b8724a373c31eed5/e/323956f4725d9001c1313b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20335-983F-4E45-A466-29BB147B65B0}">
  <dimension ref="B1:O51"/>
  <sheetViews>
    <sheetView showGridLines="0" tabSelected="1" zoomScale="90" zoomScaleNormal="90" workbookViewId="0">
      <selection activeCell="C22" sqref="C22"/>
    </sheetView>
  </sheetViews>
  <sheetFormatPr baseColWidth="10" defaultColWidth="10.83203125" defaultRowHeight="16" x14ac:dyDescent="0.2"/>
  <cols>
    <col min="1" max="1" width="2.6640625" customWidth="1"/>
    <col min="2" max="2" width="15.33203125" customWidth="1"/>
    <col min="3" max="3" width="12.83203125" bestFit="1" customWidth="1"/>
    <col min="7" max="7" width="80.83203125" customWidth="1"/>
    <col min="12" max="13" width="0" hidden="1" customWidth="1"/>
    <col min="14" max="14" width="25.5" customWidth="1"/>
    <col min="15" max="15" width="10.83203125" customWidth="1"/>
  </cols>
  <sheetData>
    <row r="1" spans="2:11" ht="17" thickBot="1" x14ac:dyDescent="0.25">
      <c r="B1" s="52" t="s">
        <v>29</v>
      </c>
      <c r="C1" s="52"/>
      <c r="D1" s="52"/>
      <c r="E1" s="52"/>
      <c r="F1" s="52"/>
    </row>
    <row r="3" spans="2:11" ht="17" thickBot="1" x14ac:dyDescent="0.25">
      <c r="B3" s="51" t="s">
        <v>24</v>
      </c>
      <c r="C3" s="51"/>
      <c r="D3" s="51"/>
      <c r="E3" s="51"/>
      <c r="F3" s="51"/>
    </row>
    <row r="4" spans="2:11" x14ac:dyDescent="0.2">
      <c r="B4" s="9" t="s">
        <v>7</v>
      </c>
      <c r="C4" s="14">
        <v>915</v>
      </c>
      <c r="D4" s="15">
        <v>901</v>
      </c>
      <c r="E4" s="9" t="s">
        <v>8</v>
      </c>
      <c r="F4" s="13">
        <f>SUM(C4:D4)/SUM(C4:D5)</f>
        <v>0.47714135575407252</v>
      </c>
    </row>
    <row r="5" spans="2:11" x14ac:dyDescent="0.2">
      <c r="B5" s="9" t="s">
        <v>10</v>
      </c>
      <c r="C5" s="16">
        <v>1015</v>
      </c>
      <c r="D5" s="17">
        <v>975</v>
      </c>
      <c r="E5" s="9" t="s">
        <v>9</v>
      </c>
      <c r="F5" s="13">
        <f>SUM(C5:D5)/SUM(C4:D5)</f>
        <v>0.52285864424592743</v>
      </c>
    </row>
    <row r="6" spans="2:11" x14ac:dyDescent="0.2">
      <c r="C6" s="13">
        <f>SUM(C4:C5)/SUM(C4:D5)</f>
        <v>0.50709406200735685</v>
      </c>
      <c r="D6" s="13">
        <f>SUM(D4:D5)/SUM(C4:D5)</f>
        <v>0.49290593799264321</v>
      </c>
      <c r="F6" s="3"/>
    </row>
    <row r="7" spans="2:11" x14ac:dyDescent="0.2">
      <c r="F7" s="3"/>
    </row>
    <row r="8" spans="2:11" ht="17" thickBot="1" x14ac:dyDescent="0.25">
      <c r="B8" s="51" t="s">
        <v>28</v>
      </c>
      <c r="C8" s="51"/>
      <c r="D8" s="51"/>
      <c r="E8" s="51"/>
      <c r="F8" s="51"/>
      <c r="H8" s="51" t="s">
        <v>33</v>
      </c>
      <c r="I8" s="51"/>
      <c r="J8" s="51"/>
      <c r="K8" s="51"/>
    </row>
    <row r="9" spans="2:11" x14ac:dyDescent="0.2">
      <c r="B9" s="9" t="s">
        <v>11</v>
      </c>
      <c r="C9" s="36">
        <f>SUM(C4:D5)</f>
        <v>3806</v>
      </c>
      <c r="D9" s="9" t="s">
        <v>2</v>
      </c>
      <c r="E9" s="20">
        <v>200</v>
      </c>
      <c r="F9" s="9" t="s">
        <v>60</v>
      </c>
      <c r="H9" s="9"/>
      <c r="I9" s="9" t="s">
        <v>15</v>
      </c>
      <c r="J9" s="9" t="s">
        <v>16</v>
      </c>
      <c r="K9" s="9"/>
    </row>
    <row r="10" spans="2:11" x14ac:dyDescent="0.2">
      <c r="B10" s="9" t="s">
        <v>12</v>
      </c>
      <c r="C10" s="18">
        <v>2731</v>
      </c>
      <c r="D10" s="9" t="s">
        <v>21</v>
      </c>
      <c r="E10" s="45">
        <f>C10/25.4</f>
        <v>107.51968503937009</v>
      </c>
      <c r="F10" s="9" t="s">
        <v>1</v>
      </c>
      <c r="H10" s="9" t="s">
        <v>14</v>
      </c>
      <c r="I10" s="22">
        <f>E11/2-E13/2</f>
        <v>29.88188976377953</v>
      </c>
      <c r="J10" s="23">
        <f>E10/2</f>
        <v>53.759842519685044</v>
      </c>
      <c r="K10" s="9" t="s">
        <v>1</v>
      </c>
    </row>
    <row r="11" spans="2:11" x14ac:dyDescent="0.2">
      <c r="B11" s="9" t="s">
        <v>54</v>
      </c>
      <c r="C11" s="18">
        <v>1763</v>
      </c>
      <c r="D11" s="9" t="s">
        <v>21</v>
      </c>
      <c r="E11" s="45">
        <f t="shared" ref="E11:E12" si="0">C11/25.4</f>
        <v>69.409448818897644</v>
      </c>
      <c r="F11" s="9" t="s">
        <v>1</v>
      </c>
      <c r="H11" s="9" t="s">
        <v>17</v>
      </c>
      <c r="I11" s="24">
        <f>E12/2-E14/2</f>
        <v>29.23228346456693</v>
      </c>
      <c r="J11" s="25">
        <f>-E10/2</f>
        <v>-53.759842519685044</v>
      </c>
      <c r="K11" s="9" t="s">
        <v>1</v>
      </c>
    </row>
    <row r="12" spans="2:11" x14ac:dyDescent="0.2">
      <c r="B12" s="9" t="s">
        <v>55</v>
      </c>
      <c r="C12" s="18">
        <v>1730</v>
      </c>
      <c r="D12" s="9" t="s">
        <v>21</v>
      </c>
      <c r="E12" s="45">
        <f t="shared" si="0"/>
        <v>68.110236220472444</v>
      </c>
      <c r="F12" s="9" t="s">
        <v>1</v>
      </c>
      <c r="H12" s="9" t="s">
        <v>18</v>
      </c>
      <c r="I12" s="24">
        <f>-E11/2+E13/2</f>
        <v>-29.88188976377953</v>
      </c>
      <c r="J12" s="25">
        <f>E10/2</f>
        <v>53.759842519685044</v>
      </c>
      <c r="K12" s="9" t="s">
        <v>1</v>
      </c>
    </row>
    <row r="13" spans="2:11" x14ac:dyDescent="0.2">
      <c r="B13" s="9" t="s">
        <v>19</v>
      </c>
      <c r="C13" s="18">
        <v>245</v>
      </c>
      <c r="D13" s="9" t="s">
        <v>21</v>
      </c>
      <c r="E13" s="45">
        <f>C13/25.4</f>
        <v>9.6456692913385833</v>
      </c>
      <c r="F13" s="9" t="s">
        <v>1</v>
      </c>
      <c r="H13" s="9" t="s">
        <v>35</v>
      </c>
      <c r="I13" s="26">
        <f>-E12/2+E14/2</f>
        <v>-29.23228346456693</v>
      </c>
      <c r="J13" s="27">
        <f>-E10/2</f>
        <v>-53.759842519685044</v>
      </c>
      <c r="K13" s="9" t="s">
        <v>1</v>
      </c>
    </row>
    <row r="14" spans="2:11" x14ac:dyDescent="0.2">
      <c r="B14" s="9" t="s">
        <v>20</v>
      </c>
      <c r="C14" s="19">
        <v>245</v>
      </c>
      <c r="D14" s="9" t="s">
        <v>21</v>
      </c>
      <c r="E14" s="21">
        <f>C14/25.4</f>
        <v>9.6456692913385833</v>
      </c>
      <c r="F14" s="9" t="s">
        <v>1</v>
      </c>
    </row>
    <row r="16" spans="2:11" ht="17" thickBot="1" x14ac:dyDescent="0.25">
      <c r="B16" s="51" t="s">
        <v>25</v>
      </c>
      <c r="C16" s="51"/>
      <c r="D16" s="51"/>
      <c r="E16" s="51"/>
      <c r="F16" s="51"/>
    </row>
    <row r="17" spans="2:15" x14ac:dyDescent="0.2">
      <c r="B17" s="9" t="s">
        <v>0</v>
      </c>
      <c r="C17" s="19">
        <v>21.25</v>
      </c>
      <c r="D17" s="9" t="s">
        <v>1</v>
      </c>
    </row>
    <row r="19" spans="2:15" ht="17" thickBot="1" x14ac:dyDescent="0.25">
      <c r="B19" s="52" t="s">
        <v>43</v>
      </c>
      <c r="C19" s="52"/>
      <c r="D19" s="52"/>
      <c r="E19" s="52"/>
      <c r="F19" s="52"/>
      <c r="G19" t="s">
        <v>13</v>
      </c>
    </row>
    <row r="20" spans="2:15" ht="17" thickBot="1" x14ac:dyDescent="0.25">
      <c r="B20" s="11" t="s">
        <v>22</v>
      </c>
      <c r="C20" s="35" t="s">
        <v>23</v>
      </c>
      <c r="D20" s="35" t="s">
        <v>44</v>
      </c>
      <c r="E20" s="35" t="s">
        <v>41</v>
      </c>
      <c r="F20" s="35" t="s">
        <v>42</v>
      </c>
    </row>
    <row r="21" spans="2:15" x14ac:dyDescent="0.2">
      <c r="B21" s="4" t="s">
        <v>26</v>
      </c>
      <c r="D21">
        <v>0</v>
      </c>
      <c r="E21">
        <v>-14</v>
      </c>
      <c r="F21" s="5">
        <v>56</v>
      </c>
      <c r="G21" t="s">
        <v>27</v>
      </c>
      <c r="O21">
        <f>D21*-1</f>
        <v>0</v>
      </c>
    </row>
    <row r="22" spans="2:15" x14ac:dyDescent="0.2">
      <c r="B22" s="4" t="s">
        <v>49</v>
      </c>
      <c r="C22">
        <v>-55</v>
      </c>
      <c r="D22">
        <v>0</v>
      </c>
      <c r="E22">
        <v>-36</v>
      </c>
      <c r="F22" s="5">
        <v>62</v>
      </c>
      <c r="G22" t="s">
        <v>65</v>
      </c>
      <c r="O22">
        <f t="shared" ref="O22:O27" si="1">D22*-1</f>
        <v>0</v>
      </c>
    </row>
    <row r="23" spans="2:15" x14ac:dyDescent="0.2">
      <c r="B23" s="4" t="s">
        <v>50</v>
      </c>
      <c r="C23">
        <v>-26</v>
      </c>
      <c r="D23">
        <v>-1</v>
      </c>
      <c r="E23">
        <v>-72</v>
      </c>
      <c r="F23" s="5">
        <v>12.5</v>
      </c>
      <c r="G23" t="s">
        <v>56</v>
      </c>
      <c r="O23">
        <f t="shared" si="1"/>
        <v>1</v>
      </c>
    </row>
    <row r="24" spans="2:15" x14ac:dyDescent="0.2">
      <c r="B24" s="4" t="s">
        <v>58</v>
      </c>
      <c r="C24">
        <v>-15</v>
      </c>
      <c r="D24">
        <v>-1</v>
      </c>
      <c r="E24">
        <v>-72</v>
      </c>
      <c r="F24" s="5">
        <v>20</v>
      </c>
      <c r="G24" t="s">
        <v>59</v>
      </c>
    </row>
    <row r="25" spans="2:15" x14ac:dyDescent="0.2">
      <c r="B25" s="4" t="s">
        <v>51</v>
      </c>
      <c r="C25">
        <v>-6</v>
      </c>
      <c r="D25">
        <v>0</v>
      </c>
      <c r="E25">
        <v>42</v>
      </c>
      <c r="F25" s="5">
        <v>30</v>
      </c>
      <c r="G25" t="s">
        <v>57</v>
      </c>
      <c r="O25">
        <f t="shared" si="1"/>
        <v>0</v>
      </c>
    </row>
    <row r="26" spans="2:15" x14ac:dyDescent="0.2">
      <c r="B26" s="4" t="s">
        <v>52</v>
      </c>
      <c r="C26">
        <v>-20</v>
      </c>
      <c r="D26">
        <v>22</v>
      </c>
      <c r="E26">
        <v>-76</v>
      </c>
      <c r="F26" s="5">
        <v>16</v>
      </c>
      <c r="G26" t="s">
        <v>66</v>
      </c>
      <c r="O26">
        <f t="shared" si="1"/>
        <v>-22</v>
      </c>
    </row>
    <row r="27" spans="2:15" x14ac:dyDescent="0.2">
      <c r="B27" s="6" t="s">
        <v>53</v>
      </c>
      <c r="C27" s="7">
        <v>-30</v>
      </c>
      <c r="D27" s="7">
        <v>-24</v>
      </c>
      <c r="E27" s="7">
        <v>-76</v>
      </c>
      <c r="F27" s="8">
        <v>20</v>
      </c>
      <c r="G27" t="s">
        <v>67</v>
      </c>
      <c r="O27">
        <f t="shared" si="1"/>
        <v>24</v>
      </c>
    </row>
    <row r="28" spans="2:15" x14ac:dyDescent="0.2">
      <c r="C28" s="44">
        <f>SUM(C21:C27)</f>
        <v>-152</v>
      </c>
      <c r="D28" t="s">
        <v>2</v>
      </c>
    </row>
    <row r="30" spans="2:15" ht="17" thickBot="1" x14ac:dyDescent="0.25">
      <c r="B30" s="51" t="s">
        <v>34</v>
      </c>
      <c r="C30" s="51"/>
      <c r="D30" s="51"/>
      <c r="E30" s="51"/>
      <c r="F30" s="51"/>
      <c r="H30" s="10" t="s">
        <v>46</v>
      </c>
    </row>
    <row r="31" spans="2:15" x14ac:dyDescent="0.2">
      <c r="B31" s="9" t="s">
        <v>3</v>
      </c>
      <c r="C31" s="36">
        <f>C9+SUM(C21:C27)</f>
        <v>3654</v>
      </c>
      <c r="D31" s="9" t="s">
        <v>2</v>
      </c>
      <c r="E31" s="46">
        <f>C31-E9</f>
        <v>3454</v>
      </c>
      <c r="F31" s="9" t="s">
        <v>61</v>
      </c>
      <c r="H31" s="41">
        <f>AVERAGE(I10:I11)-C39</f>
        <v>29.034744579341378</v>
      </c>
      <c r="I31" t="s">
        <v>39</v>
      </c>
    </row>
    <row r="32" spans="2:15" x14ac:dyDescent="0.2">
      <c r="B32" s="9" t="s">
        <v>4</v>
      </c>
      <c r="C32" s="28">
        <f>E39</f>
        <v>20.728653530377667</v>
      </c>
      <c r="D32" s="9" t="s">
        <v>1</v>
      </c>
      <c r="H32" s="41">
        <f>AVERAGE(I10:I11)+C39</f>
        <v>30.079428649005081</v>
      </c>
      <c r="I32" t="s">
        <v>40</v>
      </c>
    </row>
    <row r="33" spans="2:15" x14ac:dyDescent="0.2">
      <c r="B33" s="9" t="s">
        <v>5</v>
      </c>
      <c r="C33" s="28">
        <f>C32-xcm</f>
        <v>-0.52134646962233333</v>
      </c>
      <c r="D33" s="9" t="s">
        <v>1</v>
      </c>
      <c r="H33" s="42">
        <f>-D39+J10</f>
        <v>53.999090630912519</v>
      </c>
      <c r="I33" t="s">
        <v>37</v>
      </c>
    </row>
    <row r="34" spans="2:15" x14ac:dyDescent="0.2">
      <c r="B34" s="9" t="s">
        <v>31</v>
      </c>
      <c r="C34" s="28">
        <f>C39-C38</f>
        <v>0.10520125835376815</v>
      </c>
      <c r="D34" s="9" t="s">
        <v>1</v>
      </c>
      <c r="E34" s="12" t="s">
        <v>45</v>
      </c>
      <c r="H34" s="43">
        <f>D39+J10</f>
        <v>53.520594408457569</v>
      </c>
      <c r="I34" t="s">
        <v>38</v>
      </c>
    </row>
    <row r="35" spans="2:15" x14ac:dyDescent="0.2">
      <c r="B35" s="9" t="s">
        <v>32</v>
      </c>
      <c r="C35" s="29">
        <f>D39-D38</f>
        <v>2.2185061185216566</v>
      </c>
      <c r="D35" s="9" t="s">
        <v>1</v>
      </c>
      <c r="E35" s="12" t="s">
        <v>30</v>
      </c>
    </row>
    <row r="37" spans="2:15" ht="17" thickBot="1" x14ac:dyDescent="0.25">
      <c r="B37" s="10"/>
      <c r="C37" s="35" t="s">
        <v>44</v>
      </c>
      <c r="D37" s="35" t="s">
        <v>41</v>
      </c>
      <c r="E37" s="35" t="s">
        <v>42</v>
      </c>
      <c r="F37" s="10"/>
    </row>
    <row r="38" spans="2:15" x14ac:dyDescent="0.2">
      <c r="B38" s="9" t="s">
        <v>6</v>
      </c>
      <c r="C38" s="30">
        <f>(C4*I10+C5*I11+D4*I12+D5*I13)/C9</f>
        <v>0.41714077647808467</v>
      </c>
      <c r="D38" s="31">
        <f>(C4*J10+C5*J11+D4*J12+D5*J13)/C9</f>
        <v>-2.4577542297491326</v>
      </c>
      <c r="E38" s="32">
        <f>xcm</f>
        <v>21.25</v>
      </c>
      <c r="F38" s="9" t="s">
        <v>1</v>
      </c>
      <c r="G38" t="s">
        <v>47</v>
      </c>
      <c r="I38" s="2"/>
      <c r="O38">
        <f>C38*-1</f>
        <v>-0.41714077647808467</v>
      </c>
    </row>
    <row r="39" spans="2:15" x14ac:dyDescent="0.2">
      <c r="B39" s="9" t="s">
        <v>6</v>
      </c>
      <c r="C39" s="33">
        <f>(C4*I10+C5*I11+D4*I12+D5*I13+C21*D21+C22*D22+C23*D23+C24*D24+C25*D25+C26*D26+C27*D27)/(C9+SUM(C21:C27))</f>
        <v>0.52234203483185282</v>
      </c>
      <c r="D39" s="34">
        <f>(C4*J10+C5*J11+D4*J12+D5*J13+C21*E21+C22*E22+C23*E23+C24*E24+C25*E25+C26*E26+C27*E27)/(C9+SUM(C21:C27))</f>
        <v>-0.23924811122747616</v>
      </c>
      <c r="E39" s="27">
        <f>(xcm*C9+C21*F21+C22*F22+C23*F23+C24*F24+C25*F25+C26*F26+C27*F27)/(C9+SUM(C21:C27))</f>
        <v>20.728653530377667</v>
      </c>
      <c r="F39" s="9" t="s">
        <v>1</v>
      </c>
      <c r="G39" t="s">
        <v>48</v>
      </c>
      <c r="O39">
        <f>C39*-1</f>
        <v>-0.52234203483185282</v>
      </c>
    </row>
    <row r="40" spans="2:15" x14ac:dyDescent="0.2">
      <c r="B40" t="s">
        <v>13</v>
      </c>
      <c r="E40" s="1"/>
    </row>
    <row r="42" spans="2:15" ht="17" thickBot="1" x14ac:dyDescent="0.25">
      <c r="B42" s="51" t="s">
        <v>36</v>
      </c>
      <c r="C42" s="51"/>
      <c r="D42" s="51"/>
      <c r="E42" s="51"/>
      <c r="F42" s="51"/>
    </row>
    <row r="43" spans="2:15" x14ac:dyDescent="0.2">
      <c r="B43" s="9" t="s">
        <v>7</v>
      </c>
      <c r="C43" s="37">
        <f>H32/SUM(H31:H32)*H34/SUM(H33:H34)*C31</f>
        <v>925.50645135066577</v>
      </c>
      <c r="D43" s="38">
        <f>H31/SUM(H31:H32)*H34/SUM(H33:H34)*C31</f>
        <v>893.36282730184246</v>
      </c>
      <c r="E43" s="9" t="s">
        <v>8</v>
      </c>
      <c r="F43" s="13">
        <f>SUM(C43:D43)/SUM(C43:D44)</f>
        <v>0.49777484363779645</v>
      </c>
      <c r="G43" s="50">
        <f>F43-F4</f>
        <v>2.0633487883723933E-2</v>
      </c>
    </row>
    <row r="44" spans="2:15" x14ac:dyDescent="0.2">
      <c r="B44" s="9" t="s">
        <v>10</v>
      </c>
      <c r="C44" s="39">
        <f>H32/SUM(H31:H32)*H33/SUM(H33:H34)*C31</f>
        <v>933.78086133664681</v>
      </c>
      <c r="D44" s="40">
        <f>H31/SUM(H31:H32)*H33/SUM(H33:H34)*C31</f>
        <v>901.34986001084496</v>
      </c>
      <c r="E44" s="9" t="s">
        <v>9</v>
      </c>
      <c r="F44" s="13">
        <f>SUM(C44:D44)/SUM(C43:D44)</f>
        <v>0.50222515636220355</v>
      </c>
      <c r="G44" s="50">
        <f>F44-F5</f>
        <v>-2.0633487883723878E-2</v>
      </c>
    </row>
    <row r="45" spans="2:15" x14ac:dyDescent="0.2">
      <c r="C45" s="13">
        <f>SUM(C43:C44)/SUM(C43:D44)</f>
        <v>0.50883615563418516</v>
      </c>
      <c r="D45" s="13">
        <f>SUM(D43:D44)/SUM(C43:D44)</f>
        <v>0.49116384436581484</v>
      </c>
    </row>
    <row r="46" spans="2:15" x14ac:dyDescent="0.2">
      <c r="C46" s="13">
        <f>C45-C6</f>
        <v>1.7420936268283116E-3</v>
      </c>
      <c r="D46" s="13">
        <f>D45-D6</f>
        <v>-1.7420936268283671E-3</v>
      </c>
    </row>
    <row r="48" spans="2:15" ht="17" thickBot="1" x14ac:dyDescent="0.25">
      <c r="B48" s="51" t="s">
        <v>63</v>
      </c>
      <c r="C48" s="51"/>
      <c r="D48" s="51"/>
    </row>
    <row r="49" spans="2:5" x14ac:dyDescent="0.2">
      <c r="B49" s="9" t="s">
        <v>62</v>
      </c>
      <c r="C49" s="47">
        <v>3</v>
      </c>
      <c r="D49" s="9" t="s">
        <v>1</v>
      </c>
      <c r="E49" s="49" t="s">
        <v>64</v>
      </c>
    </row>
    <row r="50" spans="2:5" x14ac:dyDescent="0.2">
      <c r="B50" s="9" t="s">
        <v>68</v>
      </c>
      <c r="C50" s="53">
        <f>(E39-E38)/(E38-C49)</f>
        <v>-2.8566929842319636E-2</v>
      </c>
      <c r="D50" s="9"/>
      <c r="E50" t="s">
        <v>70</v>
      </c>
    </row>
    <row r="51" spans="2:5" x14ac:dyDescent="0.2">
      <c r="B51" s="9" t="s">
        <v>69</v>
      </c>
      <c r="C51" s="48">
        <f>(-C9*(E38-C49)+C31*(E39-C49))/(C9*(E38-C49))</f>
        <v>-6.7362995702531792E-2</v>
      </c>
      <c r="D51" s="9"/>
      <c r="E51" t="s">
        <v>71</v>
      </c>
    </row>
  </sheetData>
  <mergeCells count="9">
    <mergeCell ref="H8:K8"/>
    <mergeCell ref="B8:F8"/>
    <mergeCell ref="B3:F3"/>
    <mergeCell ref="B16:F16"/>
    <mergeCell ref="B48:D48"/>
    <mergeCell ref="B30:F30"/>
    <mergeCell ref="B1:F1"/>
    <mergeCell ref="B42:F42"/>
    <mergeCell ref="B19:F19"/>
  </mergeCells>
  <hyperlinks>
    <hyperlink ref="E49" r:id="rId1" xr:uid="{E33E7B2A-A9C8-904F-A360-BF51267C881A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xcm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Bryson Gentile</cp:lastModifiedBy>
  <dcterms:created xsi:type="dcterms:W3CDTF">2023-01-30T22:16:27Z</dcterms:created>
  <dcterms:modified xsi:type="dcterms:W3CDTF">2023-02-27T03:52:30Z</dcterms:modified>
</cp:coreProperties>
</file>